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D:\ALL WR\Secondary\PODs\Ken\"/>
    </mc:Choice>
  </mc:AlternateContent>
  <xr:revisionPtr revIDLastSave="0" documentId="13_ncr:1_{F00B74C7-25F6-47AD-B68E-F9C68B394B5A}" xr6:coauthVersionLast="45" xr6:coauthVersionMax="45" xr10:uidLastSave="{00000000-0000-0000-0000-000000000000}"/>
  <bookViews>
    <workbookView xWindow="-120" yWindow="-120" windowWidth="20730" windowHeight="11160" xr2:uid="{5C6AF26E-3419-48F7-B640-63B73566A1C6}"/>
  </bookViews>
  <sheets>
    <sheet name="Question1" sheetId="1" r:id="rId1"/>
    <sheet name="Question 2" sheetId="2" r:id="rId2"/>
    <sheet name="Question 3" sheetId="3" r:id="rId3"/>
    <sheet name="Question 4"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7" i="3" l="1"/>
  <c r="G6" i="3"/>
  <c r="D6" i="3"/>
  <c r="D7" i="3" s="1"/>
  <c r="G7" i="3" s="1"/>
  <c r="D4" i="3"/>
  <c r="G4" i="3" s="1"/>
  <c r="D5" i="3" l="1"/>
  <c r="G5" i="3" s="1"/>
  <c r="G9" i="3" s="1"/>
  <c r="E22" i="3"/>
  <c r="E21" i="3"/>
  <c r="F21" i="3"/>
  <c r="F22" i="3"/>
  <c r="G22" i="3" s="1"/>
  <c r="E17" i="3"/>
  <c r="E16" i="3"/>
  <c r="E15" i="3"/>
  <c r="D16" i="2"/>
  <c r="D7" i="2"/>
  <c r="J24" i="2"/>
  <c r="J27" i="2"/>
  <c r="J21" i="2"/>
  <c r="I16" i="2"/>
  <c r="J14" i="2"/>
  <c r="J11" i="2"/>
  <c r="I5" i="2"/>
  <c r="I4" i="2"/>
  <c r="D15" i="2"/>
  <c r="C14" i="2"/>
  <c r="I6" i="2" s="1"/>
  <c r="C6" i="2"/>
  <c r="D6" i="2" s="1"/>
  <c r="F23" i="3" l="1"/>
  <c r="E23" i="3"/>
  <c r="G21" i="3"/>
  <c r="G23" i="3" s="1"/>
  <c r="E18" i="3"/>
  <c r="B15" i="3" s="1"/>
  <c r="B16" i="3" s="1"/>
  <c r="B19" i="3" s="1"/>
  <c r="D17" i="2"/>
  <c r="D8" i="2"/>
  <c r="C35" i="1"/>
  <c r="C36" i="1" s="1"/>
  <c r="C37" i="1" s="1"/>
  <c r="C43" i="1" s="1"/>
  <c r="C5" i="1"/>
  <c r="C6" i="1" s="1"/>
  <c r="C24" i="1" s="1"/>
  <c r="E25" i="3" l="1"/>
  <c r="C38" i="1"/>
  <c r="C39" i="1" s="1"/>
  <c r="D40" i="1" s="1"/>
  <c r="C7" i="1"/>
  <c r="C9" i="1" s="1"/>
  <c r="D27" i="4"/>
  <c r="I13" i="4"/>
  <c r="C15" i="4" s="1"/>
  <c r="D16" i="4" s="1"/>
  <c r="G13" i="4"/>
  <c r="C12" i="4" s="1"/>
  <c r="D13" i="4" s="1"/>
  <c r="G7" i="4"/>
  <c r="J4" i="4" s="1"/>
  <c r="D44" i="1"/>
  <c r="C12" i="1" l="1"/>
  <c r="C21" i="1"/>
  <c r="D22" i="1" s="1"/>
  <c r="D23" i="4"/>
  <c r="D29" i="4" s="1"/>
  <c r="J7" i="4"/>
  <c r="C3" i="4" s="1"/>
  <c r="D4" i="4" s="1"/>
  <c r="D13" i="1" l="1"/>
  <c r="D25" i="1"/>
</calcChain>
</file>

<file path=xl/sharedStrings.xml><?xml version="1.0" encoding="utf-8"?>
<sst xmlns="http://schemas.openxmlformats.org/spreadsheetml/2006/main" count="191" uniqueCount="153">
  <si>
    <t>Date</t>
  </si>
  <si>
    <t>DR</t>
  </si>
  <si>
    <t>CR</t>
  </si>
  <si>
    <t>Depreciation Expense</t>
  </si>
  <si>
    <t xml:space="preserve">Record of depreciation expense paid </t>
  </si>
  <si>
    <t>Record of interest expense paid</t>
  </si>
  <si>
    <t>1st Jan 20x3</t>
  </si>
  <si>
    <t>Record Of manichery acquired by lease</t>
  </si>
  <si>
    <t>Record of acquization of computer by lease</t>
  </si>
  <si>
    <t xml:space="preserve">Record of second  installemnt </t>
  </si>
  <si>
    <t xml:space="preserve">Record of cash lease payments </t>
  </si>
  <si>
    <t>Record of cash payment to acquire lease permit</t>
  </si>
  <si>
    <t>Record of depreciation expense recognized before deprecition revalation</t>
  </si>
  <si>
    <t>Queenson Corp plc</t>
  </si>
  <si>
    <t>Journal Entries</t>
  </si>
  <si>
    <t>Particulars</t>
  </si>
  <si>
    <t>Dr</t>
  </si>
  <si>
    <t>Cr</t>
  </si>
  <si>
    <t>1st Jan</t>
  </si>
  <si>
    <t>FIFO</t>
  </si>
  <si>
    <t xml:space="preserve">             Weighted Average </t>
  </si>
  <si>
    <t>Record of valuation of inventory using FIFO method</t>
  </si>
  <si>
    <t>31st Dec</t>
  </si>
  <si>
    <t xml:space="preserve">FIFO </t>
  </si>
  <si>
    <t>WA</t>
  </si>
  <si>
    <t>adjustment of profit and loss</t>
  </si>
  <si>
    <t>Net Profit</t>
  </si>
  <si>
    <t>add: Depreciation</t>
  </si>
  <si>
    <t xml:space="preserve">            bal b/f</t>
  </si>
  <si>
    <t>less:bal c/d</t>
  </si>
  <si>
    <t xml:space="preserve">          Interest payable</t>
  </si>
  <si>
    <t xml:space="preserve">             Cash</t>
  </si>
  <si>
    <t xml:space="preserve">        Cash</t>
  </si>
  <si>
    <t xml:space="preserve">        Cash </t>
  </si>
  <si>
    <t>Lease Interest (7.5%)</t>
  </si>
  <si>
    <t xml:space="preserve">          Accumulated Depreciation</t>
  </si>
  <si>
    <t xml:space="preserve">               Cash</t>
  </si>
  <si>
    <t>Machinery</t>
  </si>
  <si>
    <t xml:space="preserve">       Lease Liability</t>
  </si>
  <si>
    <t>Lease Rent</t>
  </si>
  <si>
    <t>Annual Lease payment</t>
  </si>
  <si>
    <t>Interest rate</t>
  </si>
  <si>
    <t>Period</t>
  </si>
  <si>
    <t>Value</t>
  </si>
  <si>
    <t>Present Value of the Lease</t>
  </si>
  <si>
    <t>Machinery salvage Value</t>
  </si>
  <si>
    <t>Depreciation</t>
  </si>
  <si>
    <t>Lease Legal Permit Expense</t>
  </si>
  <si>
    <t>Total Lease Value</t>
  </si>
  <si>
    <t>Interest payment (7.5%)</t>
  </si>
  <si>
    <t>Computer</t>
  </si>
  <si>
    <t xml:space="preserve">          Lease Liability</t>
  </si>
  <si>
    <t>Monthly Lease payment</t>
  </si>
  <si>
    <t>MonthlyInterest rate</t>
  </si>
  <si>
    <t>Interest payment (0.70%)</t>
  </si>
  <si>
    <t>Lease Interest (0.70%)</t>
  </si>
  <si>
    <t>Record Lease Rent and Interest Payable</t>
  </si>
  <si>
    <t>Lightening Inc. Machinery Lease Journal entries</t>
  </si>
  <si>
    <t>Lightening Inc.  Computer  Lease Journal Entries</t>
  </si>
  <si>
    <t>Basic EPS</t>
  </si>
  <si>
    <t xml:space="preserve">Basic EPS </t>
  </si>
  <si>
    <t>Net Income</t>
  </si>
  <si>
    <t>Reconciliation of the Changes in Assets</t>
  </si>
  <si>
    <t>Opening Balance at 20X5</t>
  </si>
  <si>
    <t>Contribution to the Planned Assets</t>
  </si>
  <si>
    <t>Benefits paid</t>
  </si>
  <si>
    <t>Interest Revenue</t>
  </si>
  <si>
    <t>Revaluation gain</t>
  </si>
  <si>
    <t>Future value of Asset at end of 20X5</t>
  </si>
  <si>
    <t>Interest Revenue (720,000 x 3%)</t>
  </si>
  <si>
    <t>Pension Benefit Reconciliation</t>
  </si>
  <si>
    <t>Current Service Cost</t>
  </si>
  <si>
    <t>Past Service Cost</t>
  </si>
  <si>
    <t>Revaluation gain (Bal.)</t>
  </si>
  <si>
    <t>Interest (3% x 980,000)</t>
  </si>
  <si>
    <t>Ending Balance at 20X5</t>
  </si>
  <si>
    <t>Debit</t>
  </si>
  <si>
    <t>Credit</t>
  </si>
  <si>
    <t xml:space="preserve">Current Service Cost </t>
  </si>
  <si>
    <t xml:space="preserve">         Pension Liability</t>
  </si>
  <si>
    <t xml:space="preserve">         Revaluation gain</t>
  </si>
  <si>
    <t>Record of the employee benefit expense.</t>
  </si>
  <si>
    <t xml:space="preserve">         Other Comprehensive Revenue</t>
  </si>
  <si>
    <t>Record of transfer of the revalued gains balance to other incomes</t>
  </si>
  <si>
    <t>Pension Liability</t>
  </si>
  <si>
    <t xml:space="preserve">        Employee Benefits Paid</t>
  </si>
  <si>
    <t>Record of employee benefits paid out.</t>
  </si>
  <si>
    <t>Planned Asset</t>
  </si>
  <si>
    <t xml:space="preserve">          Contribution to Planned Asset</t>
  </si>
  <si>
    <t xml:space="preserve">          Interest Revenue</t>
  </si>
  <si>
    <t xml:space="preserve">          Revaluation gain</t>
  </si>
  <si>
    <t xml:space="preserve">        Planned Asset</t>
  </si>
  <si>
    <t xml:space="preserve">         Profit and Loss A/C</t>
  </si>
  <si>
    <t>Record of transfer of the revalued gains balance to Income summary.</t>
  </si>
  <si>
    <t>Record of interest revenue for the period.</t>
  </si>
  <si>
    <t>Employee Benefits Paid</t>
  </si>
  <si>
    <t>Record of transfer of employee benefits to planned asset.</t>
  </si>
  <si>
    <t>a).</t>
  </si>
  <si>
    <t>b).</t>
  </si>
  <si>
    <t>c).</t>
  </si>
  <si>
    <t>Duntroon Journal Entries</t>
  </si>
  <si>
    <t>Dilluted EPS</t>
  </si>
  <si>
    <t>Preference Dividends</t>
  </si>
  <si>
    <t>Class B</t>
  </si>
  <si>
    <t>Class C</t>
  </si>
  <si>
    <t>Total Preference Dividends</t>
  </si>
  <si>
    <t>Class A (3%)</t>
  </si>
  <si>
    <t>NBV</t>
  </si>
  <si>
    <t>Residual Value</t>
  </si>
  <si>
    <t>Useful Life</t>
  </si>
  <si>
    <t>New depreciation = NBV-residual value / Useful life</t>
  </si>
  <si>
    <t>Depreciation  = Cost - Residual Value / Useful Life</t>
  </si>
  <si>
    <t>Cost</t>
  </si>
  <si>
    <t>Dr.</t>
  </si>
  <si>
    <t>Cr.</t>
  </si>
  <si>
    <t xml:space="preserve">        Accum.depreciation</t>
  </si>
  <si>
    <t xml:space="preserve">Net Profit </t>
  </si>
  <si>
    <t>Changes in inventory (w1)</t>
  </si>
  <si>
    <t>Convertible Bonds</t>
  </si>
  <si>
    <t>Series A</t>
  </si>
  <si>
    <t>Series B</t>
  </si>
  <si>
    <t>Cost of Interest</t>
  </si>
  <si>
    <t>AT- Cost of Interest</t>
  </si>
  <si>
    <t>Total</t>
  </si>
  <si>
    <t>31-8-20X4</t>
  </si>
  <si>
    <t>1st jan 20X5</t>
  </si>
  <si>
    <t>1st march 20X5</t>
  </si>
  <si>
    <t>1st march20X5</t>
  </si>
  <si>
    <t>31st dec 20X5</t>
  </si>
  <si>
    <t>WASO</t>
  </si>
  <si>
    <t xml:space="preserve">Dilluted EPS = (Net Income before prefered dividends + After-tax cost of interest) / (WASO + Additional Shares against Convertible bonds) </t>
  </si>
  <si>
    <t>The equipment acquired by Lightening Inc is a capital lease since the ownership passes to the lessee at the end of the lease period. Thus, the asset is recognized in the books as lease property. The equipment is recognized at a lower of fair value and the present value of the minimum payment. Also, any additional cost should be included in reporting the asset. Moreover, the interest expense should be the difference between leases' minimal payment and fair value of the asset. Finally, the depreciation charged should be lower that is cost less reside amount at the end of the lease divided by the shorter of the lease term and useful life.</t>
  </si>
  <si>
    <t>Q1. c)</t>
  </si>
  <si>
    <t>IAS 16 provides that companies must provide for depreciation of property plant and equipment (PPE). The straight-line method provides depreciation at a fixed rate throughout the useful life of the asset. Queenson plc has adopted a straight-line method for depreciation of its equipment. However, during the estimation of useful life, the company had overestimated the equipment's useful life as 10 years. The useful life is thus revalued to 5 yrs. This leads to changes in the accumulated depreciation of the equipment, that is the new depreciation equals book value of equipment in 20x4 less residual value divide by the new estimated useful life of the asset. The resultant amount is deducted from the value of the equipment as depreciation for the next five years. The amount deducted from the value of the equipment as depreciation for the next five years is $ 71,400.00.
Inventory is valued using the FIFO or weighted average method as provided for in IAS2. Queenson PLC opts to change to the FIFO method when the value of inventory reflects the initial purchase prices. This method allows the firm to hold off raising sales prices as long as possible. They delay raising sales prices until they have sold all their lower-cost products. Moreover, when they start selling from the next batch of products acquired at a higher cost, they raise sales prices to gain the actual value of the goods.</t>
  </si>
  <si>
    <t xml:space="preserve">Queenson PLC should adopt the changes in accounting for depreciation to reflect the current market value of the equipment and budget accordingly to replace the equipment before its useful life is depleted, thus making production continuous. Moreover, the firm should also consider the valuation of its inventory using the FIFO method allowing it to gain maximum value of all its inventories. Additionally, the adjustments in the inventory and depreciation will, in turn, help increase the net profit before tax by $80,000. Thus, its employees enjoy increased bonuses. </t>
  </si>
  <si>
    <t>Recommendation</t>
  </si>
  <si>
    <t>Q4. b)</t>
  </si>
  <si>
    <t>Weighted Avergage Share Outstanding Computation</t>
  </si>
  <si>
    <t>Share outstanding</t>
  </si>
  <si>
    <t xml:space="preserve">Date </t>
  </si>
  <si>
    <t xml:space="preserve">Activity </t>
  </si>
  <si>
    <t>Fraction of Year</t>
  </si>
  <si>
    <t xml:space="preserve">Restated </t>
  </si>
  <si>
    <t>Issuance</t>
  </si>
  <si>
    <t xml:space="preserve"> Shares </t>
  </si>
  <si>
    <t>Change</t>
  </si>
  <si>
    <t>Split</t>
  </si>
  <si>
    <t>Share Repurchase</t>
  </si>
  <si>
    <t>Weighted Average Share Outstanding (WASO)</t>
  </si>
  <si>
    <t>Preferred Dividends</t>
  </si>
  <si>
    <t>Equivalent Shares (PCS)</t>
  </si>
  <si>
    <t>EPS = (Net Income - Preferred dividends) / WASO</t>
  </si>
  <si>
    <t>Income attributable to C. Shareholders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</si>
</sst>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5" formatCode="_-[$$-45C]* #,##0.00_-;\-[$$-45C]* #,##0.00_-;_-[$$-45C]* &quot;-&quot;??_-;_-@_-"/>
    <numFmt numFmtId="166" formatCode="_(* #,##0_);_(* \(#,##0\);_(* &quot;-&quot;??_);_(@_)"/>
    <numFmt numFmtId="174" formatCode="#\ ???/???"/>
  </numFmts>
  <fonts count="9" x14ac:knownFonts="1">
    <font>
      <sz val="11"/>
      <color theme="1"/>
      <name val="Calibri"/>
      <family val="2"/>
      <scheme val="minor"/>
    </font>
    <font>
      <b/>
      <sz val="12"/>
      <color rgb="FF000000"/>
      <name val="Times New Roman"/>
      <family val="1"/>
    </font>
    <font>
      <b/>
      <sz val="12"/>
      <color theme="1"/>
      <name val="Times New Roman"/>
      <family val="1"/>
    </font>
    <font>
      <sz val="12"/>
      <color theme="1"/>
      <name val="Times New Roman"/>
      <family val="1"/>
    </font>
    <font>
      <i/>
      <sz val="12"/>
      <color theme="1"/>
      <name val="Times New Roman"/>
      <family val="1"/>
    </font>
    <font>
      <sz val="8"/>
      <name val="Calibri"/>
      <family val="2"/>
      <scheme val="minor"/>
    </font>
    <font>
      <sz val="11"/>
      <color theme="1"/>
      <name val="Calibri"/>
      <family val="2"/>
      <scheme val="minor"/>
    </font>
    <font>
      <b/>
      <u val="singleAccounting"/>
      <sz val="12"/>
      <color theme="1"/>
      <name val="Times New Roman"/>
      <family val="1"/>
    </font>
    <font>
      <b/>
      <u/>
      <sz val="12"/>
      <color theme="1"/>
      <name val="Times New Roman"/>
      <family val="1"/>
    </font>
  </fonts>
  <fills count="2">
    <fill>
      <patternFill patternType="none"/>
    </fill>
    <fill>
      <patternFill patternType="gray125"/>
    </fill>
  </fills>
  <borders count="13">
    <border>
      <left/>
      <right/>
      <top/>
      <bottom/>
      <diagonal/>
    </border>
    <border>
      <left/>
      <right/>
      <top/>
      <bottom style="medium">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43" fontId="6" fillId="0" borderId="0" applyFont="0" applyFill="0" applyBorder="0" applyAlignment="0" applyProtection="0"/>
    <xf numFmtId="9" fontId="6" fillId="0" borderId="0" applyFont="0" applyFill="0" applyBorder="0" applyAlignment="0" applyProtection="0"/>
    <xf numFmtId="44" fontId="6" fillId="0" borderId="0" applyFont="0" applyFill="0" applyBorder="0" applyAlignment="0" applyProtection="0"/>
  </cellStyleXfs>
  <cellXfs count="79">
    <xf numFmtId="0" fontId="0" fillId="0" borderId="0" xfId="0"/>
    <xf numFmtId="0" fontId="2" fillId="0" borderId="0" xfId="0" applyFont="1"/>
    <xf numFmtId="0" fontId="3" fillId="0" borderId="0" xfId="0" applyFont="1"/>
    <xf numFmtId="165" fontId="3" fillId="0" borderId="0" xfId="0" applyNumberFormat="1" applyFont="1"/>
    <xf numFmtId="0" fontId="4" fillId="0" borderId="0" xfId="0" applyFont="1"/>
    <xf numFmtId="0" fontId="3" fillId="0" borderId="0" xfId="0" applyFont="1" applyAlignment="1"/>
    <xf numFmtId="3" fontId="3" fillId="0" borderId="0" xfId="0" applyNumberFormat="1" applyFont="1"/>
    <xf numFmtId="0" fontId="3" fillId="0" borderId="2" xfId="0" applyFont="1" applyBorder="1"/>
    <xf numFmtId="0" fontId="2" fillId="0" borderId="0" xfId="0" applyFont="1" applyAlignment="1">
      <alignment horizontal="center"/>
    </xf>
    <xf numFmtId="0" fontId="2" fillId="0" borderId="4" xfId="0" applyFont="1" applyBorder="1" applyAlignment="1">
      <alignment horizontal="left"/>
    </xf>
    <xf numFmtId="16" fontId="3" fillId="0" borderId="0" xfId="0" applyNumberFormat="1" applyFont="1"/>
    <xf numFmtId="0" fontId="1" fillId="0" borderId="0" xfId="0" applyFont="1" applyAlignment="1"/>
    <xf numFmtId="10" fontId="3" fillId="0" borderId="0" xfId="2" applyNumberFormat="1" applyFont="1"/>
    <xf numFmtId="0" fontId="2" fillId="0" borderId="4" xfId="0" applyFont="1" applyBorder="1"/>
    <xf numFmtId="165" fontId="2" fillId="0" borderId="4" xfId="0" applyNumberFormat="1" applyFont="1" applyBorder="1"/>
    <xf numFmtId="166" fontId="3" fillId="0" borderId="0" xfId="1" applyNumberFormat="1" applyFont="1"/>
    <xf numFmtId="165" fontId="7" fillId="0" borderId="0" xfId="0" applyNumberFormat="1" applyFont="1"/>
    <xf numFmtId="8" fontId="3" fillId="0" borderId="0" xfId="0" applyNumberFormat="1" applyFont="1"/>
    <xf numFmtId="0" fontId="2" fillId="0" borderId="4" xfId="0" applyFont="1" applyBorder="1" applyAlignment="1">
      <alignment horizontal="center"/>
    </xf>
    <xf numFmtId="0" fontId="3" fillId="0" borderId="4" xfId="0" applyFont="1" applyBorder="1"/>
    <xf numFmtId="0" fontId="3" fillId="0" borderId="0" xfId="0" applyFont="1" applyAlignment="1">
      <alignment horizontal="left"/>
    </xf>
    <xf numFmtId="44" fontId="3" fillId="0" borderId="0" xfId="3" applyFont="1" applyAlignment="1">
      <alignment horizontal="center"/>
    </xf>
    <xf numFmtId="44" fontId="8" fillId="0" borderId="0" xfId="3" applyFont="1"/>
    <xf numFmtId="43" fontId="3" fillId="0" borderId="0" xfId="1" applyFont="1"/>
    <xf numFmtId="44" fontId="3" fillId="0" borderId="0" xfId="3" applyFont="1"/>
    <xf numFmtId="44" fontId="3" fillId="0" borderId="4" xfId="3" applyFont="1" applyBorder="1"/>
    <xf numFmtId="44" fontId="3" fillId="0" borderId="0" xfId="0" applyNumberFormat="1" applyFont="1"/>
    <xf numFmtId="44" fontId="2" fillId="0" borderId="0" xfId="3" applyFont="1"/>
    <xf numFmtId="44" fontId="2" fillId="0" borderId="0" xfId="0" applyNumberFormat="1" applyFont="1"/>
    <xf numFmtId="44" fontId="3" fillId="0" borderId="2" xfId="3" applyFont="1" applyBorder="1"/>
    <xf numFmtId="0" fontId="2" fillId="0" borderId="0" xfId="0" applyFont="1" applyBorder="1" applyAlignment="1">
      <alignment horizontal="center"/>
    </xf>
    <xf numFmtId="44" fontId="3" fillId="0" borderId="0" xfId="3" applyFont="1" applyBorder="1"/>
    <xf numFmtId="44" fontId="7" fillId="0" borderId="0" xfId="3" applyFont="1"/>
    <xf numFmtId="44" fontId="3" fillId="0" borderId="1" xfId="3" applyFont="1" applyBorder="1"/>
    <xf numFmtId="44" fontId="2" fillId="0" borderId="3" xfId="3" applyFont="1" applyBorder="1"/>
    <xf numFmtId="43" fontId="3" fillId="0" borderId="4" xfId="1" applyFont="1" applyBorder="1"/>
    <xf numFmtId="43" fontId="2" fillId="0" borderId="0" xfId="1" applyFont="1"/>
    <xf numFmtId="166" fontId="3" fillId="0" borderId="0" xfId="0" applyNumberFormat="1" applyFont="1"/>
    <xf numFmtId="0" fontId="4" fillId="0" borderId="0" xfId="0" applyFont="1" applyAlignment="1">
      <alignment horizontal="right"/>
    </xf>
    <xf numFmtId="0" fontId="4" fillId="0" borderId="0" xfId="0" applyFont="1" applyAlignment="1">
      <alignment horizontal="center"/>
    </xf>
    <xf numFmtId="0" fontId="2" fillId="0" borderId="4" xfId="0" applyFont="1" applyBorder="1" applyAlignment="1">
      <alignment horizontal="center"/>
    </xf>
    <xf numFmtId="0" fontId="1" fillId="0" borderId="4" xfId="0" applyFont="1" applyBorder="1" applyAlignment="1">
      <alignment horizontal="center"/>
    </xf>
    <xf numFmtId="0" fontId="3" fillId="0" borderId="0" xfId="0" applyFont="1" applyAlignment="1">
      <alignment horizontal="center" wrapText="1"/>
    </xf>
    <xf numFmtId="0" fontId="2" fillId="0" borderId="0" xfId="0" applyFont="1" applyAlignment="1">
      <alignment horizontal="center"/>
    </xf>
    <xf numFmtId="0" fontId="3" fillId="0" borderId="0" xfId="0" applyFont="1" applyAlignment="1">
      <alignment vertic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center"/>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2" fillId="0" borderId="1" xfId="0" applyFont="1" applyBorder="1" applyAlignment="1">
      <alignment horizontal="center"/>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0"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1" xfId="0" applyFont="1" applyBorder="1" applyAlignment="1">
      <alignment horizontal="left" vertical="top"/>
    </xf>
    <xf numFmtId="0" fontId="3" fillId="0" borderId="12" xfId="0" applyFont="1" applyBorder="1" applyAlignment="1">
      <alignment horizontal="left" vertical="top"/>
    </xf>
    <xf numFmtId="43" fontId="3" fillId="0" borderId="0" xfId="0" applyNumberFormat="1" applyFont="1"/>
    <xf numFmtId="174" fontId="3" fillId="0" borderId="0" xfId="0" applyNumberFormat="1" applyFont="1"/>
    <xf numFmtId="43" fontId="2" fillId="0" borderId="0" xfId="0" applyNumberFormat="1" applyFont="1"/>
    <xf numFmtId="0" fontId="3" fillId="0" borderId="4" xfId="0" applyFont="1" applyBorder="1" applyAlignment="1"/>
    <xf numFmtId="44" fontId="3" fillId="0" borderId="4" xfId="0" applyNumberFormat="1" applyFont="1" applyBorder="1" applyAlignment="1"/>
    <xf numFmtId="0" fontId="3" fillId="0" borderId="0" xfId="0" applyFont="1" applyAlignment="1">
      <alignment vertical="center" wrapText="1"/>
    </xf>
    <xf numFmtId="44" fontId="3" fillId="0" borderId="0" xfId="0" applyNumberFormat="1" applyFont="1" applyAlignment="1">
      <alignment vertical="center"/>
    </xf>
    <xf numFmtId="44" fontId="3" fillId="0" borderId="0" xfId="3" applyFont="1" applyAlignment="1">
      <alignment vertical="center"/>
    </xf>
    <xf numFmtId="166" fontId="3" fillId="0" borderId="0" xfId="0" applyNumberFormat="1" applyFont="1" applyAlignment="1">
      <alignment vertical="center"/>
    </xf>
    <xf numFmtId="0" fontId="3" fillId="0" borderId="5" xfId="0" applyFont="1" applyBorder="1" applyAlignment="1">
      <alignment horizontal="left" wrapText="1"/>
    </xf>
    <xf numFmtId="0" fontId="3" fillId="0" borderId="0" xfId="0" applyFont="1" applyBorder="1" applyAlignment="1">
      <alignment horizontal="left" wrapText="1"/>
    </xf>
    <xf numFmtId="166" fontId="2" fillId="0" borderId="0" xfId="0" applyNumberFormat="1" applyFont="1"/>
    <xf numFmtId="0" fontId="2" fillId="0" borderId="0" xfId="0" applyFont="1" applyAlignment="1">
      <alignment horizontal="left"/>
    </xf>
  </cellXfs>
  <cellStyles count="4">
    <cellStyle name="Comma" xfId="1" builtinId="3"/>
    <cellStyle name="Currency" xfId="3"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DF58-7435-46C3-B38F-17A0BF0EF787}">
  <dimension ref="A1:N54"/>
  <sheetViews>
    <sheetView tabSelected="1" workbookViewId="0">
      <selection activeCell="G19" sqref="G19"/>
    </sheetView>
  </sheetViews>
  <sheetFormatPr defaultRowHeight="15.75" x14ac:dyDescent="0.25"/>
  <cols>
    <col min="1" max="1" width="13.42578125" style="2" customWidth="1"/>
    <col min="2" max="2" width="30.28515625" style="2" bestFit="1" customWidth="1"/>
    <col min="3" max="3" width="17.42578125" style="3" customWidth="1"/>
    <col min="4" max="4" width="16.140625" style="3" customWidth="1"/>
    <col min="5" max="5" width="9.140625" style="2"/>
    <col min="6" max="6" width="6.7109375" style="2" bestFit="1" customWidth="1"/>
    <col min="7" max="7" width="21.5703125" style="2" customWidth="1"/>
    <col min="8" max="16384" width="9.140625" style="2"/>
  </cols>
  <sheetData>
    <row r="1" spans="1:14" ht="16.5" thickBot="1" x14ac:dyDescent="0.3">
      <c r="B1" s="13" t="s">
        <v>15</v>
      </c>
      <c r="C1" s="14" t="s">
        <v>43</v>
      </c>
    </row>
    <row r="2" spans="1:14" x14ac:dyDescent="0.25">
      <c r="B2" s="2" t="s">
        <v>40</v>
      </c>
      <c r="C2" s="3">
        <v>76000</v>
      </c>
      <c r="F2" s="1" t="s">
        <v>132</v>
      </c>
      <c r="G2" s="48" t="s">
        <v>131</v>
      </c>
      <c r="H2" s="49"/>
      <c r="I2" s="49"/>
      <c r="J2" s="49"/>
      <c r="K2" s="49"/>
      <c r="L2" s="49"/>
      <c r="M2" s="49"/>
      <c r="N2" s="50"/>
    </row>
    <row r="3" spans="1:14" x14ac:dyDescent="0.25">
      <c r="B3" s="2" t="s">
        <v>41</v>
      </c>
      <c r="C3" s="12">
        <v>7.1999999999999995E-2</v>
      </c>
      <c r="G3" s="51"/>
      <c r="H3" s="52"/>
      <c r="I3" s="52"/>
      <c r="J3" s="52"/>
      <c r="K3" s="52"/>
      <c r="L3" s="52"/>
      <c r="M3" s="52"/>
      <c r="N3" s="53"/>
    </row>
    <row r="4" spans="1:14" x14ac:dyDescent="0.25">
      <c r="B4" s="2" t="s">
        <v>42</v>
      </c>
      <c r="C4" s="15">
        <v>12</v>
      </c>
      <c r="G4" s="51"/>
      <c r="H4" s="52"/>
      <c r="I4" s="52"/>
      <c r="J4" s="52"/>
      <c r="K4" s="52"/>
      <c r="L4" s="52"/>
      <c r="M4" s="52"/>
      <c r="N4" s="53"/>
    </row>
    <row r="5" spans="1:14" x14ac:dyDescent="0.25">
      <c r="B5" s="2" t="s">
        <v>44</v>
      </c>
      <c r="C5" s="3">
        <f>PV(C3,C4,-C2,,0)</f>
        <v>597262.08309704647</v>
      </c>
      <c r="G5" s="51"/>
      <c r="H5" s="52"/>
      <c r="I5" s="52"/>
      <c r="J5" s="52"/>
      <c r="K5" s="52"/>
      <c r="L5" s="52"/>
      <c r="M5" s="52"/>
      <c r="N5" s="53"/>
    </row>
    <row r="6" spans="1:14" x14ac:dyDescent="0.25">
      <c r="B6" s="2" t="s">
        <v>49</v>
      </c>
      <c r="C6" s="3">
        <f>(7.5%*C5)</f>
        <v>44794.656232278481</v>
      </c>
      <c r="G6" s="51"/>
      <c r="H6" s="52"/>
      <c r="I6" s="52"/>
      <c r="J6" s="52"/>
      <c r="K6" s="52"/>
      <c r="L6" s="52"/>
      <c r="M6" s="52"/>
      <c r="N6" s="53"/>
    </row>
    <row r="7" spans="1:14" ht="20.25" x14ac:dyDescent="0.55000000000000004">
      <c r="B7" s="2" t="s">
        <v>48</v>
      </c>
      <c r="C7" s="16">
        <f>C5+C6</f>
        <v>642056.73932932492</v>
      </c>
      <c r="G7" s="51"/>
      <c r="H7" s="52"/>
      <c r="I7" s="52"/>
      <c r="J7" s="52"/>
      <c r="K7" s="52"/>
      <c r="L7" s="52"/>
      <c r="M7" s="52"/>
      <c r="N7" s="53"/>
    </row>
    <row r="8" spans="1:14" x14ac:dyDescent="0.25">
      <c r="B8" s="2" t="s">
        <v>45</v>
      </c>
      <c r="C8" s="3">
        <v>0</v>
      </c>
      <c r="G8" s="51"/>
      <c r="H8" s="52"/>
      <c r="I8" s="52"/>
      <c r="J8" s="52"/>
      <c r="K8" s="52"/>
      <c r="L8" s="52"/>
      <c r="M8" s="52"/>
      <c r="N8" s="53"/>
    </row>
    <row r="9" spans="1:14" ht="16.5" thickBot="1" x14ac:dyDescent="0.3">
      <c r="B9" s="2" t="s">
        <v>46</v>
      </c>
      <c r="C9" s="3">
        <f>(C7-C8)/C4</f>
        <v>53504.728277443741</v>
      </c>
      <c r="G9" s="54"/>
      <c r="H9" s="55"/>
      <c r="I9" s="55"/>
      <c r="J9" s="55"/>
      <c r="K9" s="55"/>
      <c r="L9" s="55"/>
      <c r="M9" s="55"/>
      <c r="N9" s="56"/>
    </row>
    <row r="10" spans="1:14" x14ac:dyDescent="0.25">
      <c r="A10" s="41" t="s">
        <v>57</v>
      </c>
      <c r="B10" s="41"/>
      <c r="C10" s="41"/>
      <c r="D10" s="41"/>
      <c r="E10" s="11"/>
      <c r="F10" s="11"/>
    </row>
    <row r="11" spans="1:14" x14ac:dyDescent="0.25">
      <c r="A11" s="13" t="s">
        <v>0</v>
      </c>
      <c r="B11" s="13" t="s">
        <v>15</v>
      </c>
      <c r="C11" s="14" t="s">
        <v>1</v>
      </c>
      <c r="D11" s="14" t="s">
        <v>2</v>
      </c>
      <c r="G11" s="17"/>
    </row>
    <row r="12" spans="1:14" x14ac:dyDescent="0.25">
      <c r="A12" s="10">
        <v>43831</v>
      </c>
      <c r="B12" s="2" t="s">
        <v>37</v>
      </c>
      <c r="C12" s="3">
        <f>C7</f>
        <v>642056.73932932492</v>
      </c>
    </row>
    <row r="13" spans="1:14" x14ac:dyDescent="0.25">
      <c r="B13" s="2" t="s">
        <v>38</v>
      </c>
      <c r="D13" s="3">
        <f>C12</f>
        <v>642056.73932932492</v>
      </c>
    </row>
    <row r="14" spans="1:14" x14ac:dyDescent="0.25">
      <c r="A14" s="39" t="s">
        <v>7</v>
      </c>
      <c r="B14" s="39"/>
    </row>
    <row r="15" spans="1:14" x14ac:dyDescent="0.25">
      <c r="A15" s="10">
        <v>43831</v>
      </c>
      <c r="B15" s="2" t="s">
        <v>47</v>
      </c>
      <c r="C15" s="3">
        <v>15000</v>
      </c>
    </row>
    <row r="16" spans="1:14" x14ac:dyDescent="0.25">
      <c r="B16" s="2" t="s">
        <v>31</v>
      </c>
      <c r="D16" s="3">
        <v>15000</v>
      </c>
    </row>
    <row r="17" spans="1:4" x14ac:dyDescent="0.25">
      <c r="A17" s="38" t="s">
        <v>11</v>
      </c>
      <c r="B17" s="38"/>
    </row>
    <row r="18" spans="1:4" x14ac:dyDescent="0.25">
      <c r="A18" s="10">
        <v>43831</v>
      </c>
      <c r="B18" s="2" t="s">
        <v>39</v>
      </c>
      <c r="C18" s="3">
        <v>76000</v>
      </c>
    </row>
    <row r="19" spans="1:4" x14ac:dyDescent="0.25">
      <c r="B19" s="2" t="s">
        <v>32</v>
      </c>
      <c r="D19" s="3">
        <v>76000</v>
      </c>
    </row>
    <row r="20" spans="1:4" x14ac:dyDescent="0.25">
      <c r="A20" s="38" t="s">
        <v>10</v>
      </c>
      <c r="B20" s="38"/>
    </row>
    <row r="21" spans="1:4" x14ac:dyDescent="0.25">
      <c r="A21" s="10">
        <v>44196</v>
      </c>
      <c r="B21" s="2" t="s">
        <v>3</v>
      </c>
      <c r="C21" s="3">
        <f>+C9</f>
        <v>53504.728277443741</v>
      </c>
    </row>
    <row r="22" spans="1:4" x14ac:dyDescent="0.25">
      <c r="B22" s="2" t="s">
        <v>35</v>
      </c>
      <c r="D22" s="3">
        <f>+C21</f>
        <v>53504.728277443741</v>
      </c>
    </row>
    <row r="23" spans="1:4" x14ac:dyDescent="0.25">
      <c r="A23" s="38" t="s">
        <v>4</v>
      </c>
      <c r="B23" s="38"/>
    </row>
    <row r="24" spans="1:4" x14ac:dyDescent="0.25">
      <c r="A24" s="10">
        <v>44196</v>
      </c>
      <c r="B24" s="2" t="s">
        <v>34</v>
      </c>
      <c r="C24" s="3">
        <f>(C6/12)</f>
        <v>3732.8880193565401</v>
      </c>
    </row>
    <row r="25" spans="1:4" x14ac:dyDescent="0.25">
      <c r="B25" s="2" t="s">
        <v>30</v>
      </c>
      <c r="D25" s="3">
        <f>+C24</f>
        <v>3732.8880193565401</v>
      </c>
    </row>
    <row r="26" spans="1:4" x14ac:dyDescent="0.25">
      <c r="A26" s="38" t="s">
        <v>5</v>
      </c>
      <c r="B26" s="38"/>
    </row>
    <row r="27" spans="1:4" x14ac:dyDescent="0.25">
      <c r="A27" s="2" t="s">
        <v>6</v>
      </c>
      <c r="B27" s="2" t="s">
        <v>39</v>
      </c>
      <c r="C27" s="3">
        <v>76000</v>
      </c>
    </row>
    <row r="28" spans="1:4" x14ac:dyDescent="0.25">
      <c r="B28" s="2" t="s">
        <v>33</v>
      </c>
      <c r="D28" s="3">
        <v>76000</v>
      </c>
    </row>
    <row r="29" spans="1:4" x14ac:dyDescent="0.25">
      <c r="B29" s="4" t="s">
        <v>9</v>
      </c>
    </row>
    <row r="30" spans="1:4" x14ac:dyDescent="0.25">
      <c r="B30" s="4"/>
    </row>
    <row r="31" spans="1:4" x14ac:dyDescent="0.25">
      <c r="A31" s="40" t="s">
        <v>58</v>
      </c>
      <c r="B31" s="40"/>
      <c r="C31" s="40"/>
      <c r="D31" s="40"/>
    </row>
    <row r="32" spans="1:4" x14ac:dyDescent="0.25">
      <c r="A32" s="1" t="s">
        <v>0</v>
      </c>
      <c r="B32" s="13" t="s">
        <v>15</v>
      </c>
      <c r="C32" s="14" t="s">
        <v>43</v>
      </c>
    </row>
    <row r="33" spans="1:4" x14ac:dyDescent="0.25">
      <c r="B33" s="2" t="s">
        <v>52</v>
      </c>
      <c r="C33" s="3">
        <v>50</v>
      </c>
    </row>
    <row r="34" spans="1:4" x14ac:dyDescent="0.25">
      <c r="B34" s="2" t="s">
        <v>53</v>
      </c>
      <c r="C34" s="12">
        <v>7.0000000000000001E-3</v>
      </c>
    </row>
    <row r="35" spans="1:4" x14ac:dyDescent="0.25">
      <c r="B35" s="2" t="s">
        <v>42</v>
      </c>
      <c r="C35" s="15">
        <f>3*12</f>
        <v>36</v>
      </c>
    </row>
    <row r="36" spans="1:4" x14ac:dyDescent="0.25">
      <c r="B36" s="2" t="s">
        <v>44</v>
      </c>
      <c r="C36" s="3">
        <f>PV(C34,C35,-C33,,1)</f>
        <v>1597.3365943416122</v>
      </c>
    </row>
    <row r="37" spans="1:4" x14ac:dyDescent="0.25">
      <c r="B37" s="2" t="s">
        <v>54</v>
      </c>
      <c r="C37" s="3">
        <f>(0.7%*C36)</f>
        <v>11.181356160391285</v>
      </c>
    </row>
    <row r="38" spans="1:4" ht="20.25" x14ac:dyDescent="0.55000000000000004">
      <c r="B38" s="2" t="s">
        <v>48</v>
      </c>
      <c r="C38" s="16">
        <f>C36+C37</f>
        <v>1608.5179505020035</v>
      </c>
    </row>
    <row r="39" spans="1:4" x14ac:dyDescent="0.25">
      <c r="A39" s="10">
        <v>44044</v>
      </c>
      <c r="B39" s="2" t="s">
        <v>50</v>
      </c>
      <c r="C39" s="3">
        <f>+C38</f>
        <v>1608.5179505020035</v>
      </c>
    </row>
    <row r="40" spans="1:4" x14ac:dyDescent="0.25">
      <c r="B40" s="2" t="s">
        <v>51</v>
      </c>
      <c r="D40" s="3">
        <f>+C39</f>
        <v>1608.5179505020035</v>
      </c>
    </row>
    <row r="41" spans="1:4" x14ac:dyDescent="0.25">
      <c r="A41" s="38" t="s">
        <v>8</v>
      </c>
      <c r="B41" s="38"/>
    </row>
    <row r="42" spans="1:4" x14ac:dyDescent="0.25">
      <c r="A42" s="10">
        <v>44074</v>
      </c>
      <c r="B42" s="2" t="s">
        <v>39</v>
      </c>
      <c r="C42" s="3">
        <v>50</v>
      </c>
    </row>
    <row r="43" spans="1:4" x14ac:dyDescent="0.25">
      <c r="B43" s="2" t="s">
        <v>55</v>
      </c>
      <c r="C43" s="3">
        <f>(C37/C35)</f>
        <v>0.31059322667753569</v>
      </c>
    </row>
    <row r="44" spans="1:4" x14ac:dyDescent="0.25">
      <c r="B44" s="2" t="s">
        <v>36</v>
      </c>
      <c r="D44" s="3">
        <f>+C42+C43</f>
        <v>50.310593226677533</v>
      </c>
    </row>
    <row r="45" spans="1:4" x14ac:dyDescent="0.25">
      <c r="A45" s="38" t="s">
        <v>56</v>
      </c>
      <c r="B45" s="38"/>
    </row>
    <row r="49" spans="7:8" x14ac:dyDescent="0.25">
      <c r="G49" s="5"/>
      <c r="H49" s="5"/>
    </row>
    <row r="50" spans="7:8" x14ac:dyDescent="0.25">
      <c r="G50" s="5"/>
      <c r="H50" s="5"/>
    </row>
    <row r="51" spans="7:8" x14ac:dyDescent="0.25">
      <c r="H51" s="6"/>
    </row>
    <row r="54" spans="7:8" x14ac:dyDescent="0.25">
      <c r="H54" s="3"/>
    </row>
  </sheetData>
  <mergeCells count="10">
    <mergeCell ref="G2:N9"/>
    <mergeCell ref="A45:B45"/>
    <mergeCell ref="A14:B14"/>
    <mergeCell ref="A41:B41"/>
    <mergeCell ref="A31:D31"/>
    <mergeCell ref="A10:D10"/>
    <mergeCell ref="A17:B17"/>
    <mergeCell ref="A20:B20"/>
    <mergeCell ref="A23:B23"/>
    <mergeCell ref="A26:B2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48BFF-DCDE-4C5E-811C-4A43BC727D72}">
  <dimension ref="A2:J28"/>
  <sheetViews>
    <sheetView topLeftCell="A10" workbookViewId="0">
      <selection activeCell="G26" sqref="G26"/>
    </sheetView>
  </sheetViews>
  <sheetFormatPr defaultRowHeight="15.75" x14ac:dyDescent="0.25"/>
  <cols>
    <col min="1" max="1" width="3.42578125" style="2" bestFit="1" customWidth="1"/>
    <col min="2" max="2" width="33.85546875" style="2" bestFit="1" customWidth="1"/>
    <col min="3" max="4" width="16.42578125" style="2" bestFit="1" customWidth="1"/>
    <col min="5" max="5" width="16.42578125" style="2" customWidth="1"/>
    <col min="6" max="6" width="3.28515625" style="2" bestFit="1" customWidth="1"/>
    <col min="7" max="7" width="14.7109375" style="2" customWidth="1"/>
    <col min="8" max="8" width="37.5703125" style="2" customWidth="1"/>
    <col min="9" max="9" width="14" style="2" bestFit="1" customWidth="1"/>
    <col min="10" max="10" width="14.140625" style="2" bestFit="1" customWidth="1"/>
    <col min="11" max="16384" width="9.140625" style="2"/>
  </cols>
  <sheetData>
    <row r="2" spans="1:10" x14ac:dyDescent="0.25">
      <c r="A2" s="2" t="s">
        <v>97</v>
      </c>
      <c r="B2" s="40" t="s">
        <v>62</v>
      </c>
      <c r="C2" s="40"/>
      <c r="D2" s="40"/>
      <c r="E2" s="30"/>
      <c r="F2" s="2" t="s">
        <v>99</v>
      </c>
      <c r="G2" s="40" t="s">
        <v>100</v>
      </c>
      <c r="H2" s="40"/>
      <c r="I2" s="40"/>
      <c r="J2" s="40"/>
    </row>
    <row r="3" spans="1:10" x14ac:dyDescent="0.25">
      <c r="B3" s="2" t="s">
        <v>63</v>
      </c>
      <c r="C3" s="24"/>
      <c r="D3" s="24">
        <v>720000</v>
      </c>
      <c r="E3" s="24"/>
      <c r="G3" s="18" t="s">
        <v>0</v>
      </c>
      <c r="H3" s="9" t="s">
        <v>15</v>
      </c>
      <c r="I3" s="18" t="s">
        <v>76</v>
      </c>
      <c r="J3" s="18" t="s">
        <v>77</v>
      </c>
    </row>
    <row r="4" spans="1:10" x14ac:dyDescent="0.25">
      <c r="B4" s="2" t="s">
        <v>64</v>
      </c>
      <c r="C4" s="24"/>
      <c r="D4" s="24">
        <v>230000</v>
      </c>
      <c r="E4" s="24"/>
      <c r="G4" s="2" t="s">
        <v>125</v>
      </c>
      <c r="H4" s="2" t="s">
        <v>78</v>
      </c>
      <c r="I4" s="26">
        <f>+C12</f>
        <v>60000</v>
      </c>
    </row>
    <row r="5" spans="1:10" x14ac:dyDescent="0.25">
      <c r="B5" s="2" t="s">
        <v>65</v>
      </c>
      <c r="C5" s="24">
        <v>-175000</v>
      </c>
      <c r="D5" s="24"/>
      <c r="E5" s="24"/>
      <c r="H5" s="2" t="s">
        <v>72</v>
      </c>
      <c r="I5" s="26">
        <f t="shared" ref="I5:I6" si="0">+C13</f>
        <v>90000</v>
      </c>
    </row>
    <row r="6" spans="1:10" x14ac:dyDescent="0.25">
      <c r="B6" s="19" t="s">
        <v>69</v>
      </c>
      <c r="C6" s="25">
        <f>(3%*D3)</f>
        <v>21600</v>
      </c>
      <c r="D6" s="24">
        <f>SUM(C5:C6)</f>
        <v>-153400</v>
      </c>
      <c r="E6" s="24"/>
      <c r="H6" s="2" t="s">
        <v>66</v>
      </c>
      <c r="I6" s="26">
        <f t="shared" si="0"/>
        <v>29400</v>
      </c>
    </row>
    <row r="7" spans="1:10" x14ac:dyDescent="0.25">
      <c r="B7" s="19" t="s">
        <v>73</v>
      </c>
      <c r="C7" s="25"/>
      <c r="D7" s="25">
        <f>870000-796600</f>
        <v>73400</v>
      </c>
      <c r="E7" s="31"/>
      <c r="H7" s="2" t="s">
        <v>79</v>
      </c>
      <c r="J7" s="24">
        <v>155000</v>
      </c>
    </row>
    <row r="8" spans="1:10" x14ac:dyDescent="0.25">
      <c r="B8" s="1" t="s">
        <v>68</v>
      </c>
      <c r="C8" s="1"/>
      <c r="D8" s="28">
        <f>SUM(D3:D7)</f>
        <v>870000</v>
      </c>
      <c r="E8" s="28"/>
      <c r="H8" s="2" t="s">
        <v>80</v>
      </c>
      <c r="J8" s="24">
        <v>24400</v>
      </c>
    </row>
    <row r="9" spans="1:10" x14ac:dyDescent="0.25">
      <c r="G9" s="38" t="s">
        <v>81</v>
      </c>
      <c r="H9" s="38"/>
      <c r="I9" s="38"/>
    </row>
    <row r="10" spans="1:10" x14ac:dyDescent="0.25">
      <c r="A10" s="2" t="s">
        <v>98</v>
      </c>
      <c r="B10" s="40" t="s">
        <v>70</v>
      </c>
      <c r="C10" s="40"/>
      <c r="D10" s="40"/>
      <c r="E10" s="30"/>
      <c r="G10" s="2" t="s">
        <v>125</v>
      </c>
      <c r="H10" s="2" t="s">
        <v>67</v>
      </c>
      <c r="I10" s="24">
        <v>24400</v>
      </c>
      <c r="J10" s="24"/>
    </row>
    <row r="11" spans="1:10" x14ac:dyDescent="0.25">
      <c r="B11" s="2" t="s">
        <v>63</v>
      </c>
      <c r="C11" s="24"/>
      <c r="D11" s="24">
        <v>980000</v>
      </c>
      <c r="E11" s="24"/>
      <c r="H11" s="2" t="s">
        <v>82</v>
      </c>
      <c r="I11" s="24"/>
      <c r="J11" s="24">
        <f>+I10</f>
        <v>24400</v>
      </c>
    </row>
    <row r="12" spans="1:10" x14ac:dyDescent="0.25">
      <c r="B12" s="2" t="s">
        <v>71</v>
      </c>
      <c r="C12" s="24">
        <v>60000</v>
      </c>
      <c r="D12" s="24"/>
      <c r="E12" s="24"/>
      <c r="G12" s="38" t="s">
        <v>83</v>
      </c>
      <c r="H12" s="38"/>
      <c r="I12" s="38"/>
    </row>
    <row r="13" spans="1:10" x14ac:dyDescent="0.25">
      <c r="B13" s="2" t="s">
        <v>72</v>
      </c>
      <c r="C13" s="24">
        <v>90000</v>
      </c>
      <c r="D13" s="24"/>
      <c r="E13" s="24"/>
      <c r="G13" s="2" t="s">
        <v>126</v>
      </c>
      <c r="H13" s="2" t="s">
        <v>84</v>
      </c>
      <c r="I13" s="24">
        <v>175000</v>
      </c>
      <c r="J13" s="24"/>
    </row>
    <row r="14" spans="1:10" x14ac:dyDescent="0.25">
      <c r="B14" s="2" t="s">
        <v>74</v>
      </c>
      <c r="C14" s="24">
        <f>(3%*D11)</f>
        <v>29400</v>
      </c>
      <c r="D14" s="24"/>
      <c r="E14" s="24"/>
      <c r="H14" s="2" t="s">
        <v>85</v>
      </c>
      <c r="I14" s="24"/>
      <c r="J14" s="24">
        <f>+I13</f>
        <v>175000</v>
      </c>
    </row>
    <row r="15" spans="1:10" x14ac:dyDescent="0.25">
      <c r="B15" s="19" t="s">
        <v>65</v>
      </c>
      <c r="C15" s="25">
        <v>-175000</v>
      </c>
      <c r="D15" s="25">
        <f>SUM(C12:C15)</f>
        <v>4400</v>
      </c>
      <c r="E15" s="31"/>
      <c r="G15" s="38" t="s">
        <v>86</v>
      </c>
      <c r="H15" s="38"/>
      <c r="I15" s="38"/>
    </row>
    <row r="16" spans="1:10" x14ac:dyDescent="0.25">
      <c r="B16" s="7" t="s">
        <v>73</v>
      </c>
      <c r="C16" s="29"/>
      <c r="D16" s="29">
        <f>960000-984400</f>
        <v>-24400</v>
      </c>
      <c r="E16" s="31"/>
      <c r="G16" s="2" t="s">
        <v>126</v>
      </c>
      <c r="H16" s="2" t="s">
        <v>87</v>
      </c>
      <c r="I16" s="26">
        <f>SUM(J17:J19)</f>
        <v>325000</v>
      </c>
    </row>
    <row r="17" spans="2:10" x14ac:dyDescent="0.25">
      <c r="B17" s="1" t="s">
        <v>75</v>
      </c>
      <c r="C17" s="27"/>
      <c r="D17" s="27">
        <f>SUM(D11:D16)</f>
        <v>960000</v>
      </c>
      <c r="E17" s="27"/>
      <c r="H17" s="2" t="s">
        <v>88</v>
      </c>
      <c r="J17" s="24">
        <v>230000</v>
      </c>
    </row>
    <row r="18" spans="2:10" x14ac:dyDescent="0.25">
      <c r="H18" s="2" t="s">
        <v>89</v>
      </c>
      <c r="J18" s="24">
        <v>21600</v>
      </c>
    </row>
    <row r="19" spans="2:10" x14ac:dyDescent="0.25">
      <c r="H19" s="2" t="s">
        <v>90</v>
      </c>
      <c r="J19" s="24">
        <v>73400</v>
      </c>
    </row>
    <row r="20" spans="2:10" x14ac:dyDescent="0.25">
      <c r="G20" s="2" t="s">
        <v>127</v>
      </c>
      <c r="H20" s="2" t="s">
        <v>95</v>
      </c>
      <c r="I20" s="24">
        <v>175000</v>
      </c>
      <c r="J20" s="24"/>
    </row>
    <row r="21" spans="2:10" x14ac:dyDescent="0.25">
      <c r="H21" s="2" t="s">
        <v>91</v>
      </c>
      <c r="I21" s="24"/>
      <c r="J21" s="24">
        <f>+I20</f>
        <v>175000</v>
      </c>
    </row>
    <row r="22" spans="2:10" x14ac:dyDescent="0.25">
      <c r="G22" s="38" t="s">
        <v>96</v>
      </c>
      <c r="H22" s="38"/>
      <c r="I22" s="38"/>
    </row>
    <row r="23" spans="2:10" x14ac:dyDescent="0.25">
      <c r="G23" s="2" t="s">
        <v>128</v>
      </c>
      <c r="H23" s="2" t="s">
        <v>66</v>
      </c>
      <c r="I23" s="24">
        <v>21600</v>
      </c>
      <c r="J23" s="24"/>
    </row>
    <row r="24" spans="2:10" x14ac:dyDescent="0.25">
      <c r="H24" s="2" t="s">
        <v>92</v>
      </c>
      <c r="I24" s="24"/>
      <c r="J24" s="24">
        <f>+I23</f>
        <v>21600</v>
      </c>
    </row>
    <row r="25" spans="2:10" x14ac:dyDescent="0.25">
      <c r="G25" s="38" t="s">
        <v>94</v>
      </c>
      <c r="H25" s="38"/>
      <c r="I25" s="38"/>
    </row>
    <row r="26" spans="2:10" x14ac:dyDescent="0.25">
      <c r="G26" s="2" t="s">
        <v>128</v>
      </c>
      <c r="H26" s="2" t="s">
        <v>67</v>
      </c>
      <c r="I26" s="24">
        <v>73400</v>
      </c>
      <c r="J26" s="24"/>
    </row>
    <row r="27" spans="2:10" x14ac:dyDescent="0.25">
      <c r="H27" s="2" t="s">
        <v>82</v>
      </c>
      <c r="I27" s="24"/>
      <c r="J27" s="24">
        <f>+I26</f>
        <v>73400</v>
      </c>
    </row>
    <row r="28" spans="2:10" x14ac:dyDescent="0.25">
      <c r="G28" s="38" t="s">
        <v>93</v>
      </c>
      <c r="H28" s="38"/>
      <c r="I28" s="38"/>
    </row>
  </sheetData>
  <mergeCells count="9">
    <mergeCell ref="G28:I28"/>
    <mergeCell ref="G25:I25"/>
    <mergeCell ref="G2:J2"/>
    <mergeCell ref="B2:D2"/>
    <mergeCell ref="G9:I9"/>
    <mergeCell ref="G12:I12"/>
    <mergeCell ref="G15:I15"/>
    <mergeCell ref="G22:I22"/>
    <mergeCell ref="B10:D10"/>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35E9E-4BDF-4C8F-8EF9-066C81CC6E81}">
  <dimension ref="A2:S25"/>
  <sheetViews>
    <sheetView workbookViewId="0">
      <selection activeCell="B17" sqref="B17"/>
    </sheetView>
  </sheetViews>
  <sheetFormatPr defaultRowHeight="15.75" x14ac:dyDescent="0.25"/>
  <cols>
    <col min="1" max="1" width="20.85546875" style="2" customWidth="1"/>
    <col min="2" max="2" width="16.42578125" style="2" bestFit="1" customWidth="1"/>
    <col min="3" max="3" width="12.7109375" style="2" bestFit="1" customWidth="1"/>
    <col min="4" max="5" width="24.85546875" style="2" bestFit="1" customWidth="1"/>
    <col min="6" max="6" width="17.28515625" style="67" bestFit="1" customWidth="1"/>
    <col min="7" max="7" width="14.5703125" style="2" bestFit="1" customWidth="1"/>
    <col min="8" max="8" width="32.5703125" style="2" customWidth="1"/>
    <col min="9" max="9" width="15.7109375" style="2" bestFit="1" customWidth="1"/>
    <col min="10" max="10" width="9.140625" style="2"/>
    <col min="11" max="12" width="24.85546875" style="2" bestFit="1" customWidth="1"/>
    <col min="13" max="13" width="16" style="2" customWidth="1"/>
    <col min="14" max="14" width="20.140625" style="2" customWidth="1"/>
    <col min="15" max="18" width="9.140625" style="2"/>
    <col min="19" max="19" width="14.85546875" style="2" bestFit="1" customWidth="1"/>
    <col min="20" max="16384" width="9.140625" style="2"/>
  </cols>
  <sheetData>
    <row r="2" spans="1:19" ht="15.75" customHeight="1" x14ac:dyDescent="0.25">
      <c r="A2" s="40" t="s">
        <v>137</v>
      </c>
      <c r="B2" s="40"/>
      <c r="C2" s="40"/>
      <c r="D2" s="40"/>
      <c r="E2" s="40"/>
      <c r="F2" s="40"/>
      <c r="G2" s="40"/>
    </row>
    <row r="3" spans="1:19" x14ac:dyDescent="0.25">
      <c r="A3" s="45" t="s">
        <v>139</v>
      </c>
      <c r="B3" s="45" t="s">
        <v>140</v>
      </c>
      <c r="C3" s="45" t="s">
        <v>144</v>
      </c>
      <c r="D3" s="45" t="s">
        <v>145</v>
      </c>
      <c r="E3" s="45" t="s">
        <v>142</v>
      </c>
      <c r="F3" s="67" t="s">
        <v>141</v>
      </c>
      <c r="G3" s="2" t="s">
        <v>129</v>
      </c>
    </row>
    <row r="4" spans="1:19" x14ac:dyDescent="0.25">
      <c r="A4" s="10">
        <v>43831</v>
      </c>
      <c r="B4" s="2" t="s">
        <v>138</v>
      </c>
      <c r="C4" s="23">
        <v>800000</v>
      </c>
      <c r="D4" s="23">
        <f>+C4</f>
        <v>800000</v>
      </c>
      <c r="E4" s="2">
        <v>3</v>
      </c>
      <c r="F4" s="67">
        <v>8.3333333333333329E-2</v>
      </c>
      <c r="G4" s="66">
        <f>D4*E4*F4</f>
        <v>200000</v>
      </c>
    </row>
    <row r="5" spans="1:19" x14ac:dyDescent="0.25">
      <c r="A5" s="10">
        <v>43862</v>
      </c>
      <c r="B5" s="2" t="s">
        <v>143</v>
      </c>
      <c r="C5" s="23">
        <v>100000</v>
      </c>
      <c r="D5" s="23">
        <f>+C5+D4</f>
        <v>900000</v>
      </c>
      <c r="E5" s="2">
        <v>3</v>
      </c>
      <c r="F5" s="67">
        <v>0.33333333333333331</v>
      </c>
      <c r="G5" s="66">
        <f>D5*E5*F5</f>
        <v>900000</v>
      </c>
    </row>
    <row r="6" spans="1:19" x14ac:dyDescent="0.25">
      <c r="A6" s="10">
        <v>43983</v>
      </c>
      <c r="B6" s="2" t="s">
        <v>146</v>
      </c>
      <c r="C6" s="23">
        <v>900000</v>
      </c>
      <c r="D6" s="66">
        <f>(C6*3)</f>
        <v>2700000</v>
      </c>
      <c r="E6" s="2">
        <v>3</v>
      </c>
      <c r="F6" s="67">
        <v>0.41666666666666669</v>
      </c>
      <c r="G6" s="66">
        <f>C6*E6*F6</f>
        <v>1125000</v>
      </c>
    </row>
    <row r="7" spans="1:19" x14ac:dyDescent="0.25">
      <c r="A7" s="10">
        <v>44136</v>
      </c>
      <c r="B7" s="2" t="s">
        <v>147</v>
      </c>
      <c r="C7" s="23">
        <v>-70000</v>
      </c>
      <c r="D7" s="66">
        <f>D6+C7</f>
        <v>2630000</v>
      </c>
      <c r="E7" s="15">
        <v>1</v>
      </c>
      <c r="F7" s="67">
        <v>0.16666666666666666</v>
      </c>
      <c r="G7" s="66">
        <f>D7*E7*F7</f>
        <v>438333.33333333331</v>
      </c>
    </row>
    <row r="9" spans="1:19" x14ac:dyDescent="0.25">
      <c r="A9" s="47" t="s">
        <v>148</v>
      </c>
      <c r="B9" s="47"/>
      <c r="C9" s="47"/>
      <c r="D9" s="47"/>
      <c r="G9" s="68">
        <f>SUM(G4:G8)</f>
        <v>2663333.3333333335</v>
      </c>
    </row>
    <row r="10" spans="1:19" x14ac:dyDescent="0.25">
      <c r="I10" s="15"/>
    </row>
    <row r="11" spans="1:19" x14ac:dyDescent="0.25">
      <c r="A11" s="40" t="s">
        <v>59</v>
      </c>
      <c r="B11" s="40"/>
      <c r="D11" s="40" t="s">
        <v>101</v>
      </c>
      <c r="E11" s="40"/>
      <c r="F11" s="40"/>
      <c r="G11" s="40"/>
      <c r="I11" s="15"/>
    </row>
    <row r="12" spans="1:19" x14ac:dyDescent="0.25">
      <c r="A12" s="75" t="s">
        <v>151</v>
      </c>
      <c r="B12" s="75"/>
      <c r="D12" s="46" t="s">
        <v>130</v>
      </c>
      <c r="E12" s="46"/>
      <c r="F12" s="46"/>
      <c r="G12" s="46"/>
    </row>
    <row r="13" spans="1:19" x14ac:dyDescent="0.25">
      <c r="A13" s="76"/>
      <c r="B13" s="76"/>
      <c r="D13" s="46"/>
      <c r="E13" s="46"/>
      <c r="F13" s="46"/>
      <c r="G13" s="46"/>
    </row>
    <row r="14" spans="1:19" x14ac:dyDescent="0.25">
      <c r="A14" s="20" t="s">
        <v>61</v>
      </c>
      <c r="B14" s="21">
        <v>3540000</v>
      </c>
      <c r="D14" s="2" t="s">
        <v>102</v>
      </c>
      <c r="F14" s="2"/>
    </row>
    <row r="15" spans="1:19" x14ac:dyDescent="0.25">
      <c r="A15" s="69" t="s">
        <v>149</v>
      </c>
      <c r="B15" s="70">
        <f>+E18</f>
        <v>274500</v>
      </c>
      <c r="D15" s="2" t="s">
        <v>106</v>
      </c>
      <c r="E15" s="24">
        <f>(3%*50000*150)</f>
        <v>225000</v>
      </c>
      <c r="F15" s="2"/>
    </row>
    <row r="16" spans="1:19" s="44" customFormat="1" ht="31.5" customHeight="1" x14ac:dyDescent="0.25">
      <c r="A16" s="71" t="s">
        <v>152</v>
      </c>
      <c r="B16" s="72">
        <f>B14-B15</f>
        <v>3265500</v>
      </c>
      <c r="D16" s="44" t="s">
        <v>103</v>
      </c>
      <c r="E16" s="73">
        <f>(1.15*30000)</f>
        <v>34500</v>
      </c>
      <c r="S16" s="74"/>
    </row>
    <row r="17" spans="1:19" x14ac:dyDescent="0.25">
      <c r="A17" s="2" t="s">
        <v>129</v>
      </c>
      <c r="B17" s="77">
        <f>+G9</f>
        <v>2663333.3333333335</v>
      </c>
      <c r="D17" s="19" t="s">
        <v>104</v>
      </c>
      <c r="E17" s="25">
        <f>(0.75*20000)</f>
        <v>15000</v>
      </c>
      <c r="F17" s="2"/>
      <c r="S17" s="37"/>
    </row>
    <row r="18" spans="1:19" x14ac:dyDescent="0.25">
      <c r="D18" s="2" t="s">
        <v>105</v>
      </c>
      <c r="E18" s="26">
        <f>SUM(E15:E17)</f>
        <v>274500</v>
      </c>
      <c r="F18" s="2"/>
    </row>
    <row r="19" spans="1:19" x14ac:dyDescent="0.25">
      <c r="A19" s="2" t="s">
        <v>60</v>
      </c>
      <c r="B19" s="22">
        <f>B16/B17</f>
        <v>1.2260951188986231</v>
      </c>
      <c r="F19" s="2"/>
    </row>
    <row r="20" spans="1:19" x14ac:dyDescent="0.25">
      <c r="D20" s="1" t="s">
        <v>118</v>
      </c>
      <c r="E20" s="1" t="s">
        <v>150</v>
      </c>
      <c r="F20" s="1" t="s">
        <v>121</v>
      </c>
      <c r="G20" s="1" t="s">
        <v>122</v>
      </c>
    </row>
    <row r="21" spans="1:19" x14ac:dyDescent="0.25">
      <c r="D21" s="2" t="s">
        <v>119</v>
      </c>
      <c r="E21" s="23">
        <f>(3000000/1000)*50</f>
        <v>150000</v>
      </c>
      <c r="F21" s="24">
        <f>(2%*3000000)</f>
        <v>60000</v>
      </c>
      <c r="G21" s="24">
        <f>(1-30%)*F21</f>
        <v>42000</v>
      </c>
    </row>
    <row r="22" spans="1:19" x14ac:dyDescent="0.25">
      <c r="D22" s="2" t="s">
        <v>120</v>
      </c>
      <c r="E22" s="35">
        <f>(2000000/1000)*30</f>
        <v>60000</v>
      </c>
      <c r="F22" s="25">
        <f>(4.5%*2000000)</f>
        <v>90000</v>
      </c>
      <c r="G22" s="25">
        <f>(1-30%)*F22</f>
        <v>62999.999999999993</v>
      </c>
    </row>
    <row r="23" spans="1:19" x14ac:dyDescent="0.25">
      <c r="D23" s="2" t="s">
        <v>123</v>
      </c>
      <c r="E23" s="36">
        <f>SUM(E21:E22)</f>
        <v>210000</v>
      </c>
      <c r="F23" s="27">
        <f t="shared" ref="F23:G23" si="0">SUM(F21:F22)</f>
        <v>150000</v>
      </c>
      <c r="G23" s="27">
        <f t="shared" si="0"/>
        <v>105000</v>
      </c>
    </row>
    <row r="24" spans="1:19" x14ac:dyDescent="0.25">
      <c r="F24" s="2"/>
    </row>
    <row r="25" spans="1:19" x14ac:dyDescent="0.25">
      <c r="D25" s="2" t="s">
        <v>101</v>
      </c>
      <c r="E25" s="22">
        <f>(B14+G23)/(B17+E23)</f>
        <v>1.2685614849187934</v>
      </c>
      <c r="F25" s="2"/>
    </row>
  </sheetData>
  <mergeCells count="6">
    <mergeCell ref="A9:D9"/>
    <mergeCell ref="A2:G2"/>
    <mergeCell ref="D12:G13"/>
    <mergeCell ref="A12:B13"/>
    <mergeCell ref="A11:B11"/>
    <mergeCell ref="D11:G11"/>
  </mergeCells>
  <pageMargins left="0.7" right="0.7" top="0.75" bottom="0.75" header="0.3" footer="0.3"/>
  <pageSetup orientation="portrait" horizontalDpi="300" verticalDpi="300" r:id="rId1"/>
  <ignoredErrors>
    <ignoredError sqref="G6"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1AE3E-68DD-4207-B099-3C6DA4893B94}">
  <dimension ref="A1:N34"/>
  <sheetViews>
    <sheetView topLeftCell="A4" workbookViewId="0">
      <selection activeCell="F14" sqref="F14:H14"/>
    </sheetView>
  </sheetViews>
  <sheetFormatPr defaultRowHeight="15.75" x14ac:dyDescent="0.25"/>
  <cols>
    <col min="1" max="1" width="10.85546875" style="2" customWidth="1"/>
    <col min="2" max="2" width="31.140625" style="2" customWidth="1"/>
    <col min="3" max="3" width="16.28515625" style="2" customWidth="1"/>
    <col min="4" max="4" width="18.140625" style="2" customWidth="1"/>
    <col min="5" max="5" width="9.140625" style="2"/>
    <col min="6" max="6" width="13.85546875" style="2" customWidth="1"/>
    <col min="7" max="7" width="14" style="2" bestFit="1" customWidth="1"/>
    <col min="8" max="8" width="9.140625" style="2"/>
    <col min="9" max="9" width="15.7109375" style="2" bestFit="1" customWidth="1"/>
    <col min="10" max="10" width="14" style="2" bestFit="1" customWidth="1"/>
    <col min="11" max="16384" width="9.140625" style="2"/>
  </cols>
  <sheetData>
    <row r="1" spans="1:14" x14ac:dyDescent="0.25">
      <c r="A1" s="43" t="s">
        <v>13</v>
      </c>
      <c r="B1" s="43"/>
      <c r="C1" s="43"/>
      <c r="D1" s="43"/>
      <c r="E1" s="43"/>
    </row>
    <row r="2" spans="1:14" x14ac:dyDescent="0.25">
      <c r="A2" s="1" t="s">
        <v>0</v>
      </c>
      <c r="B2" s="1" t="s">
        <v>15</v>
      </c>
      <c r="C2" s="8" t="s">
        <v>113</v>
      </c>
      <c r="D2" s="8" t="s">
        <v>114</v>
      </c>
      <c r="F2" s="42" t="s">
        <v>111</v>
      </c>
      <c r="G2" s="42"/>
      <c r="H2" s="42"/>
      <c r="I2" s="42" t="s">
        <v>110</v>
      </c>
      <c r="J2" s="42"/>
      <c r="K2" s="42"/>
    </row>
    <row r="3" spans="1:14" x14ac:dyDescent="0.25">
      <c r="A3" s="2" t="s">
        <v>124</v>
      </c>
      <c r="B3" s="2" t="s">
        <v>3</v>
      </c>
      <c r="C3" s="24">
        <f>J7-G7</f>
        <v>25400</v>
      </c>
      <c r="D3" s="24"/>
      <c r="F3" s="42"/>
      <c r="G3" s="42"/>
      <c r="H3" s="42"/>
      <c r="I3" s="42"/>
      <c r="J3" s="42"/>
      <c r="K3" s="42"/>
    </row>
    <row r="4" spans="1:14" x14ac:dyDescent="0.25">
      <c r="B4" s="2" t="s">
        <v>115</v>
      </c>
      <c r="C4" s="24"/>
      <c r="D4" s="24">
        <f>+C3</f>
        <v>25400</v>
      </c>
      <c r="F4" s="1" t="s">
        <v>112</v>
      </c>
      <c r="G4" s="24">
        <v>500000</v>
      </c>
      <c r="I4" s="1" t="s">
        <v>107</v>
      </c>
      <c r="J4" s="24">
        <f>500000-(G7*3)</f>
        <v>362000</v>
      </c>
    </row>
    <row r="5" spans="1:14" x14ac:dyDescent="0.25">
      <c r="B5" s="4" t="s">
        <v>12</v>
      </c>
      <c r="F5" s="1" t="s">
        <v>108</v>
      </c>
      <c r="G5" s="24">
        <v>40000</v>
      </c>
      <c r="I5" s="1" t="s">
        <v>108</v>
      </c>
      <c r="J5" s="24">
        <v>5000</v>
      </c>
    </row>
    <row r="6" spans="1:14" x14ac:dyDescent="0.25">
      <c r="C6" s="24"/>
      <c r="D6" s="24"/>
      <c r="F6" s="1" t="s">
        <v>109</v>
      </c>
      <c r="G6" s="2">
        <v>10</v>
      </c>
      <c r="I6" s="1" t="s">
        <v>109</v>
      </c>
      <c r="J6" s="2">
        <v>5</v>
      </c>
    </row>
    <row r="7" spans="1:14" ht="20.25" x14ac:dyDescent="0.55000000000000004">
      <c r="C7" s="24"/>
      <c r="D7" s="24"/>
      <c r="F7" s="1" t="s">
        <v>46</v>
      </c>
      <c r="G7" s="32">
        <f>(G4-G5)/10</f>
        <v>46000</v>
      </c>
      <c r="I7" s="1" t="s">
        <v>46</v>
      </c>
      <c r="J7" s="32">
        <f>(J4-J5)/J6</f>
        <v>71400</v>
      </c>
    </row>
    <row r="8" spans="1:14" x14ac:dyDescent="0.25">
      <c r="B8" s="4"/>
    </row>
    <row r="10" spans="1:14" x14ac:dyDescent="0.25">
      <c r="A10" s="40" t="s">
        <v>14</v>
      </c>
      <c r="B10" s="40"/>
      <c r="C10" s="40"/>
    </row>
    <row r="11" spans="1:14" x14ac:dyDescent="0.25">
      <c r="A11" s="13" t="s">
        <v>0</v>
      </c>
      <c r="B11" s="13" t="s">
        <v>15</v>
      </c>
      <c r="C11" s="13" t="s">
        <v>16</v>
      </c>
      <c r="D11" s="13" t="s">
        <v>17</v>
      </c>
      <c r="F11" s="2" t="s">
        <v>19</v>
      </c>
      <c r="G11" s="24">
        <v>860000</v>
      </c>
      <c r="H11" s="2" t="s">
        <v>19</v>
      </c>
      <c r="I11" s="24">
        <v>940000</v>
      </c>
    </row>
    <row r="12" spans="1:14" x14ac:dyDescent="0.25">
      <c r="A12" s="2" t="s">
        <v>18</v>
      </c>
      <c r="B12" s="2" t="s">
        <v>19</v>
      </c>
      <c r="C12" s="24">
        <f>+G13</f>
        <v>110000</v>
      </c>
      <c r="D12" s="24"/>
      <c r="F12" s="2" t="s">
        <v>24</v>
      </c>
      <c r="G12" s="24">
        <v>750000</v>
      </c>
      <c r="H12" s="2" t="s">
        <v>24</v>
      </c>
      <c r="I12" s="24">
        <v>910000</v>
      </c>
    </row>
    <row r="13" spans="1:14" x14ac:dyDescent="0.25">
      <c r="B13" s="2" t="s">
        <v>20</v>
      </c>
      <c r="C13" s="24"/>
      <c r="D13" s="24">
        <f>+C12</f>
        <v>110000</v>
      </c>
      <c r="G13" s="27">
        <f>G11-G12</f>
        <v>110000</v>
      </c>
      <c r="H13" s="1"/>
      <c r="I13" s="27">
        <f>I11-I12</f>
        <v>30000</v>
      </c>
    </row>
    <row r="14" spans="1:14" ht="16.5" thickBot="1" x14ac:dyDescent="0.3">
      <c r="B14" s="4" t="s">
        <v>21</v>
      </c>
      <c r="F14" s="78" t="s">
        <v>136</v>
      </c>
      <c r="G14" s="78"/>
      <c r="H14" s="78"/>
    </row>
    <row r="15" spans="1:14" x14ac:dyDescent="0.25">
      <c r="A15" s="2" t="s">
        <v>22</v>
      </c>
      <c r="B15" s="2" t="s">
        <v>23</v>
      </c>
      <c r="C15" s="24">
        <f>+I13</f>
        <v>30000</v>
      </c>
      <c r="D15" s="24"/>
      <c r="F15" s="48" t="s">
        <v>133</v>
      </c>
      <c r="G15" s="58"/>
      <c r="H15" s="58"/>
      <c r="I15" s="58"/>
      <c r="J15" s="58"/>
      <c r="K15" s="58"/>
      <c r="L15" s="58"/>
      <c r="M15" s="58"/>
      <c r="N15" s="59"/>
    </row>
    <row r="16" spans="1:14" x14ac:dyDescent="0.25">
      <c r="B16" s="2" t="s">
        <v>20</v>
      </c>
      <c r="C16" s="24"/>
      <c r="D16" s="24">
        <f>+C15</f>
        <v>30000</v>
      </c>
      <c r="F16" s="60"/>
      <c r="G16" s="61"/>
      <c r="H16" s="61"/>
      <c r="I16" s="61"/>
      <c r="J16" s="61"/>
      <c r="K16" s="61"/>
      <c r="L16" s="61"/>
      <c r="M16" s="61"/>
      <c r="N16" s="62"/>
    </row>
    <row r="17" spans="1:14" x14ac:dyDescent="0.25">
      <c r="A17" s="38" t="s">
        <v>21</v>
      </c>
      <c r="B17" s="38"/>
      <c r="C17" s="38"/>
      <c r="F17" s="60"/>
      <c r="G17" s="61"/>
      <c r="H17" s="61"/>
      <c r="I17" s="61"/>
      <c r="J17" s="61"/>
      <c r="K17" s="61"/>
      <c r="L17" s="61"/>
      <c r="M17" s="61"/>
      <c r="N17" s="62"/>
    </row>
    <row r="18" spans="1:14" x14ac:dyDescent="0.25">
      <c r="F18" s="60"/>
      <c r="G18" s="61"/>
      <c r="H18" s="61"/>
      <c r="I18" s="61"/>
      <c r="J18" s="61"/>
      <c r="K18" s="61"/>
      <c r="L18" s="61"/>
      <c r="M18" s="61"/>
      <c r="N18" s="62"/>
    </row>
    <row r="19" spans="1:14" x14ac:dyDescent="0.25">
      <c r="B19" s="8" t="s">
        <v>13</v>
      </c>
      <c r="C19" s="8"/>
      <c r="D19" s="8"/>
      <c r="E19" s="8"/>
      <c r="F19" s="60"/>
      <c r="G19" s="61"/>
      <c r="H19" s="61"/>
      <c r="I19" s="61"/>
      <c r="J19" s="61"/>
      <c r="K19" s="61"/>
      <c r="L19" s="61"/>
      <c r="M19" s="61"/>
      <c r="N19" s="62"/>
    </row>
    <row r="20" spans="1:14" x14ac:dyDescent="0.25">
      <c r="B20" s="8" t="s">
        <v>25</v>
      </c>
      <c r="C20" s="8"/>
      <c r="D20" s="8"/>
      <c r="E20" s="8"/>
      <c r="F20" s="60"/>
      <c r="G20" s="61"/>
      <c r="H20" s="61"/>
      <c r="I20" s="61"/>
      <c r="J20" s="61"/>
      <c r="K20" s="61"/>
      <c r="L20" s="61"/>
      <c r="M20" s="61"/>
      <c r="N20" s="62"/>
    </row>
    <row r="21" spans="1:14" x14ac:dyDescent="0.25">
      <c r="B21" s="2" t="s">
        <v>26</v>
      </c>
      <c r="C21" s="24">
        <v>120000</v>
      </c>
      <c r="D21" s="24"/>
      <c r="F21" s="60"/>
      <c r="G21" s="61"/>
      <c r="H21" s="61"/>
      <c r="I21" s="61"/>
      <c r="J21" s="61"/>
      <c r="K21" s="61"/>
      <c r="L21" s="61"/>
      <c r="M21" s="61"/>
      <c r="N21" s="62"/>
    </row>
    <row r="22" spans="1:14" x14ac:dyDescent="0.25">
      <c r="B22" s="2" t="s">
        <v>27</v>
      </c>
      <c r="C22" s="31">
        <v>-25400</v>
      </c>
      <c r="D22" s="24"/>
      <c r="F22" s="60"/>
      <c r="G22" s="61"/>
      <c r="H22" s="61"/>
      <c r="I22" s="61"/>
      <c r="J22" s="61"/>
      <c r="K22" s="61"/>
      <c r="L22" s="61"/>
      <c r="M22" s="61"/>
      <c r="N22" s="62"/>
    </row>
    <row r="23" spans="1:14" ht="16.5" thickBot="1" x14ac:dyDescent="0.3">
      <c r="C23" s="33"/>
      <c r="D23" s="24">
        <f>C21+C22-C23</f>
        <v>94600</v>
      </c>
      <c r="F23" s="60"/>
      <c r="G23" s="61"/>
      <c r="H23" s="61"/>
      <c r="I23" s="61"/>
      <c r="J23" s="61"/>
      <c r="K23" s="61"/>
      <c r="L23" s="61"/>
      <c r="M23" s="61"/>
      <c r="N23" s="62"/>
    </row>
    <row r="24" spans="1:14" x14ac:dyDescent="0.25">
      <c r="C24" s="24"/>
      <c r="D24" s="24"/>
      <c r="F24" s="60"/>
      <c r="G24" s="61"/>
      <c r="H24" s="61"/>
      <c r="I24" s="61"/>
      <c r="J24" s="61"/>
      <c r="K24" s="61"/>
      <c r="L24" s="61"/>
      <c r="M24" s="61"/>
      <c r="N24" s="62"/>
    </row>
    <row r="25" spans="1:14" x14ac:dyDescent="0.25">
      <c r="B25" s="2" t="s">
        <v>117</v>
      </c>
      <c r="C25" s="24"/>
      <c r="D25" s="24"/>
      <c r="F25" s="60"/>
      <c r="G25" s="61"/>
      <c r="H25" s="61"/>
      <c r="I25" s="61"/>
      <c r="J25" s="61"/>
      <c r="K25" s="61"/>
      <c r="L25" s="61"/>
      <c r="M25" s="61"/>
      <c r="N25" s="62"/>
    </row>
    <row r="26" spans="1:14" x14ac:dyDescent="0.25">
      <c r="B26" s="2" t="s">
        <v>28</v>
      </c>
      <c r="C26" s="24">
        <v>110000</v>
      </c>
      <c r="D26" s="24"/>
      <c r="F26" s="60"/>
      <c r="G26" s="61"/>
      <c r="H26" s="61"/>
      <c r="I26" s="61"/>
      <c r="J26" s="61"/>
      <c r="K26" s="61"/>
      <c r="L26" s="61"/>
      <c r="M26" s="61"/>
      <c r="N26" s="62"/>
    </row>
    <row r="27" spans="1:14" x14ac:dyDescent="0.25">
      <c r="B27" s="2" t="s">
        <v>29</v>
      </c>
      <c r="C27" s="25">
        <v>30000</v>
      </c>
      <c r="D27" s="24">
        <f>C26-C27</f>
        <v>80000</v>
      </c>
      <c r="F27" s="60"/>
      <c r="G27" s="61"/>
      <c r="H27" s="61"/>
      <c r="I27" s="61"/>
      <c r="J27" s="61"/>
      <c r="K27" s="61"/>
      <c r="L27" s="61"/>
      <c r="M27" s="61"/>
      <c r="N27" s="62"/>
    </row>
    <row r="28" spans="1:14" ht="16.5" thickBot="1" x14ac:dyDescent="0.3">
      <c r="C28" s="24"/>
      <c r="D28" s="31"/>
      <c r="F28" s="63"/>
      <c r="G28" s="64"/>
      <c r="H28" s="64"/>
      <c r="I28" s="64"/>
      <c r="J28" s="64"/>
      <c r="K28" s="64"/>
      <c r="L28" s="64"/>
      <c r="M28" s="64"/>
      <c r="N28" s="65"/>
    </row>
    <row r="29" spans="1:14" ht="16.5" thickBot="1" x14ac:dyDescent="0.3">
      <c r="B29" s="2" t="s">
        <v>116</v>
      </c>
      <c r="C29" s="24"/>
      <c r="D29" s="34">
        <f>SUM(D23:D28)</f>
        <v>174600</v>
      </c>
      <c r="F29" s="57" t="s">
        <v>135</v>
      </c>
      <c r="G29" s="57"/>
      <c r="H29" s="57"/>
    </row>
    <row r="30" spans="1:14" ht="16.5" thickTop="1" x14ac:dyDescent="0.25">
      <c r="F30" s="48" t="s">
        <v>134</v>
      </c>
      <c r="G30" s="49"/>
      <c r="H30" s="49"/>
      <c r="I30" s="49"/>
      <c r="J30" s="49"/>
      <c r="K30" s="49"/>
      <c r="L30" s="49"/>
      <c r="M30" s="49"/>
      <c r="N30" s="50"/>
    </row>
    <row r="31" spans="1:14" x14ac:dyDescent="0.25">
      <c r="F31" s="51"/>
      <c r="G31" s="52"/>
      <c r="H31" s="52"/>
      <c r="I31" s="52"/>
      <c r="J31" s="52"/>
      <c r="K31" s="52"/>
      <c r="L31" s="52"/>
      <c r="M31" s="52"/>
      <c r="N31" s="53"/>
    </row>
    <row r="32" spans="1:14" x14ac:dyDescent="0.25">
      <c r="F32" s="51"/>
      <c r="G32" s="52"/>
      <c r="H32" s="52"/>
      <c r="I32" s="52"/>
      <c r="J32" s="52"/>
      <c r="K32" s="52"/>
      <c r="L32" s="52"/>
      <c r="M32" s="52"/>
      <c r="N32" s="53"/>
    </row>
    <row r="33" spans="6:14" x14ac:dyDescent="0.25">
      <c r="F33" s="51"/>
      <c r="G33" s="52"/>
      <c r="H33" s="52"/>
      <c r="I33" s="52"/>
      <c r="J33" s="52"/>
      <c r="K33" s="52"/>
      <c r="L33" s="52"/>
      <c r="M33" s="52"/>
      <c r="N33" s="53"/>
    </row>
    <row r="34" spans="6:14" ht="16.5" thickBot="1" x14ac:dyDescent="0.3">
      <c r="F34" s="54"/>
      <c r="G34" s="55"/>
      <c r="H34" s="55"/>
      <c r="I34" s="55"/>
      <c r="J34" s="55"/>
      <c r="K34" s="55"/>
      <c r="L34" s="55"/>
      <c r="M34" s="55"/>
      <c r="N34" s="56"/>
    </row>
  </sheetData>
  <mergeCells count="9">
    <mergeCell ref="F30:N34"/>
    <mergeCell ref="F29:H29"/>
    <mergeCell ref="F14:H14"/>
    <mergeCell ref="A17:C17"/>
    <mergeCell ref="A1:E1"/>
    <mergeCell ref="A10:C10"/>
    <mergeCell ref="I2:K3"/>
    <mergeCell ref="F2:H3"/>
    <mergeCell ref="F15:N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Question1</vt:lpstr>
      <vt:lpstr>Question 2</vt:lpstr>
      <vt:lpstr>Question 3</vt:lpstr>
      <vt:lpstr>Question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2020-06-03T09:16:33Z</dcterms:created>
  <dcterms:modified xsi:type="dcterms:W3CDTF">2020-06-05T13:17:42Z</dcterms:modified>
</cp:coreProperties>
</file>